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avid Chitti\afzir\FRP Bars\GFRP\"/>
    </mc:Choice>
  </mc:AlternateContent>
  <bookViews>
    <workbookView xWindow="0" yWindow="0" windowWidth="20490" windowHeight="7365" tabRatio="772"/>
  </bookViews>
  <sheets>
    <sheet name="داده ها" sheetId="1" r:id="rId1"/>
    <sheet name="طراحی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6" l="1"/>
  <c r="C55" i="6"/>
  <c r="C53" i="6"/>
  <c r="C47" i="6"/>
  <c r="C41" i="6"/>
  <c r="C39" i="6"/>
  <c r="C38" i="6"/>
  <c r="C33" i="6"/>
  <c r="C23" i="6"/>
  <c r="C22" i="6"/>
  <c r="E30" i="6"/>
  <c r="C21" i="6"/>
  <c r="C18" i="6"/>
  <c r="C5" i="6"/>
  <c r="C59" i="6" s="1"/>
  <c r="C3" i="6"/>
  <c r="C25" i="6" s="1"/>
  <c r="C26" i="6" s="1"/>
  <c r="C27" i="6" s="1"/>
  <c r="C28" i="6" s="1"/>
  <c r="J6" i="1"/>
  <c r="I6" i="1"/>
  <c r="N9" i="1"/>
  <c r="M9" i="1"/>
  <c r="L9" i="1"/>
  <c r="K9" i="1"/>
  <c r="J9" i="1"/>
  <c r="R13" i="1"/>
  <c r="R12" i="1"/>
  <c r="R11" i="1"/>
  <c r="R10" i="1"/>
  <c r="C29" i="6" l="1"/>
  <c r="C32" i="6"/>
  <c r="C60" i="6"/>
  <c r="C37" i="6"/>
  <c r="C6" i="6"/>
  <c r="C7" i="6" s="1"/>
  <c r="C8" i="6" s="1"/>
  <c r="E15" i="6"/>
  <c r="C10" i="6"/>
  <c r="C11" i="6" s="1"/>
  <c r="C12" i="6" s="1"/>
  <c r="G4" i="6"/>
  <c r="C5" i="1"/>
  <c r="C46" i="6" l="1"/>
  <c r="C48" i="6" s="1"/>
  <c r="C13" i="6"/>
  <c r="C14" i="6" s="1"/>
  <c r="C30" i="6" l="1"/>
  <c r="C35" i="6" s="1"/>
  <c r="C36" i="6" s="1"/>
  <c r="C42" i="6" s="1"/>
  <c r="C15" i="6"/>
  <c r="C17" i="6" l="1"/>
</calcChain>
</file>

<file path=xl/sharedStrings.xml><?xml version="1.0" encoding="utf-8"?>
<sst xmlns="http://schemas.openxmlformats.org/spreadsheetml/2006/main" count="192" uniqueCount="102">
  <si>
    <t>مقاومت بتن</t>
  </si>
  <si>
    <t>واحد</t>
  </si>
  <si>
    <t>مقدار</t>
  </si>
  <si>
    <t>Mpa</t>
  </si>
  <si>
    <t>MPa</t>
  </si>
  <si>
    <t>مدول الاستیسیته (E)</t>
  </si>
  <si>
    <t>کرنش نهایی</t>
  </si>
  <si>
    <t>%</t>
  </si>
  <si>
    <t>چگالی بتن</t>
  </si>
  <si>
    <t>kg/m3</t>
  </si>
  <si>
    <t>قطر میلگرد</t>
  </si>
  <si>
    <t>mm</t>
  </si>
  <si>
    <t>مقاومت طراحی</t>
  </si>
  <si>
    <t>افزایش طول طراحی</t>
  </si>
  <si>
    <t>ارتفاع یا عمق دال</t>
  </si>
  <si>
    <t>میزان کاور</t>
  </si>
  <si>
    <t>عمق قرار گیری میلگردها</t>
  </si>
  <si>
    <t>دهانه دال</t>
  </si>
  <si>
    <t>بار مرده ضریب خورده</t>
  </si>
  <si>
    <t>حد بهره برداری</t>
  </si>
  <si>
    <t>حد نهایی</t>
  </si>
  <si>
    <t>kPa</t>
  </si>
  <si>
    <t>بار زنده ضریب خورده</t>
  </si>
  <si>
    <t>بار مرده اضطراری</t>
  </si>
  <si>
    <t>مجموع بار ضریب خورده</t>
  </si>
  <si>
    <t>L</t>
  </si>
  <si>
    <t>m</t>
  </si>
  <si>
    <t>خمش حد سرویس</t>
  </si>
  <si>
    <t>kN.m</t>
  </si>
  <si>
    <t>برش حد سرویس</t>
  </si>
  <si>
    <t>kN</t>
  </si>
  <si>
    <t>خمش حد نهایی</t>
  </si>
  <si>
    <t>برش حد نهایی</t>
  </si>
  <si>
    <t>تعیین عمق موثر</t>
  </si>
  <si>
    <t>میزان تعداد واحد میلگردهای GFRP را بر عرض دال چند عدد است؟</t>
  </si>
  <si>
    <t>کرنش بالای بتن چند است؟</t>
  </si>
  <si>
    <t>سطح مقطع میلگردها</t>
  </si>
  <si>
    <t>mm2</t>
  </si>
  <si>
    <t>→</t>
  </si>
  <si>
    <t>فاصله میلگردها</t>
  </si>
  <si>
    <t>فاصله واقعی چه عددی فرض شود؟</t>
  </si>
  <si>
    <t>سطح مقطع میلگرد</t>
  </si>
  <si>
    <r>
      <t xml:space="preserve">محاسبه </t>
    </r>
    <r>
      <rPr>
        <sz val="11"/>
        <color theme="1"/>
        <rFont val="Calibri"/>
        <family val="2"/>
      </rPr>
      <t>α</t>
    </r>
    <r>
      <rPr>
        <sz val="11"/>
        <color theme="1"/>
        <rFont val="B Nazanin"/>
        <charset val="178"/>
      </rPr>
      <t>1</t>
    </r>
  </si>
  <si>
    <r>
      <t xml:space="preserve">محاسبه </t>
    </r>
    <r>
      <rPr>
        <sz val="11"/>
        <color theme="1"/>
        <rFont val="Calibri"/>
        <family val="2"/>
      </rPr>
      <t>β</t>
    </r>
    <r>
      <rPr>
        <sz val="11"/>
        <color theme="1"/>
        <rFont val="B Nazanin"/>
        <charset val="178"/>
      </rPr>
      <t>1</t>
    </r>
  </si>
  <si>
    <t>عمق خنثی اولیه چند است؟</t>
  </si>
  <si>
    <t>محاسبه کرنش در عمق میلگردگذاری شده</t>
  </si>
  <si>
    <t>محاسبه تنش در عمق میلگردگذاری شده</t>
  </si>
  <si>
    <t>محاسبه نیروی کشش ضریب خورده</t>
  </si>
  <si>
    <t>محاسبه نیروی کششی کل</t>
  </si>
  <si>
    <t>تعیین عمق بلوک فشاری</t>
  </si>
  <si>
    <t>چک کردن فرض اولیه تعیین عمق خنثی</t>
  </si>
  <si>
    <t>عمق اولیه تار خنثی</t>
  </si>
  <si>
    <t>در صورتی که عمق تار خنثی حدس زده شده با عمق تار خنثی محاسبه شده یکی نیست، فرضیات مسئله را عوض نمایید تا حدودا یکی شوند.</t>
  </si>
  <si>
    <t>محاسبه ظرفیت خمشی</t>
  </si>
  <si>
    <t>kN.m/m</t>
  </si>
  <si>
    <t>حداکثر خمش حد نهایی</t>
  </si>
  <si>
    <t>حداکثر برش حد سرویس</t>
  </si>
  <si>
    <t>حداکثر خمش حد سرویس</t>
  </si>
  <si>
    <t>حداکثر برش حد نهایی</t>
  </si>
  <si>
    <t>محاسبه حداکثر خمش اعمالی حد نهایی با ضریب</t>
  </si>
  <si>
    <t>چون ظرفیت خمشی بیشتر از حداکثر خمش اعمالی حد نهایی با ضریب است، طراحی خوب است. در غیر این صورت باید فرضیات را عوض کرد</t>
  </si>
  <si>
    <r>
      <t xml:space="preserve">ΦFRP </t>
    </r>
    <r>
      <rPr>
        <sz val="11"/>
        <color theme="1"/>
        <rFont val="B Nazanin"/>
        <charset val="178"/>
      </rPr>
      <t>در حالت سرویس از آیین نامه</t>
    </r>
  </si>
  <si>
    <r>
      <t>ΦFRP</t>
    </r>
    <r>
      <rPr>
        <sz val="11"/>
        <color theme="1"/>
        <rFont val="B Nazanin"/>
        <charset val="178"/>
      </rPr>
      <t xml:space="preserve"> در حالت حد نهایی از آیین نامه</t>
    </r>
  </si>
  <si>
    <r>
      <rPr>
        <sz val="11"/>
        <color theme="1"/>
        <rFont val="Calibri"/>
        <family val="2"/>
      </rPr>
      <t>Φ</t>
    </r>
    <r>
      <rPr>
        <sz val="11"/>
        <color theme="1"/>
        <rFont val="B Nazanin"/>
        <charset val="178"/>
      </rPr>
      <t>C در حالت حد نهایی از آیین نامه</t>
    </r>
  </si>
  <si>
    <r>
      <rPr>
        <sz val="11"/>
        <color theme="1"/>
        <rFont val="Calibri"/>
        <family val="2"/>
      </rPr>
      <t>Φ</t>
    </r>
    <r>
      <rPr>
        <sz val="11"/>
        <color theme="1"/>
        <rFont val="B Nazanin"/>
        <charset val="178"/>
      </rPr>
      <t>C در حالت سرویس از آیین نامه</t>
    </r>
  </si>
  <si>
    <t>محاسبه عرض ترک ها</t>
  </si>
  <si>
    <t>h1</t>
  </si>
  <si>
    <t>h2</t>
  </si>
  <si>
    <t>f(FRP)</t>
  </si>
  <si>
    <t>E(FRP)</t>
  </si>
  <si>
    <t>ضریب چسبندگی FRP و بتن</t>
  </si>
  <si>
    <t>فاصله در نظر گرفته شده برای میلگردها</t>
  </si>
  <si>
    <r>
      <rPr>
        <sz val="11"/>
        <color theme="1"/>
        <rFont val="B Nazanin"/>
        <charset val="178"/>
      </rPr>
      <t>عرض ترک</t>
    </r>
    <r>
      <rPr>
        <sz val="11"/>
        <color theme="1"/>
        <rFont val="Times New Roman"/>
        <family val="1"/>
        <scheme val="major"/>
      </rPr>
      <t xml:space="preserve"> (wcr)</t>
    </r>
  </si>
  <si>
    <t>حد مجاز از آیین نامه</t>
  </si>
  <si>
    <t>در صورتی که مقدار محاسبه شده از مقدار موجود در آیین نامه کمتر باشد، طراحی مناسب است. در غیر این صورت باید فرضیات عوض شود</t>
  </si>
  <si>
    <t>مقایسه تنش های موجود در حد سرویس و مقدار مجاز آیین نامه</t>
  </si>
  <si>
    <t>تنش به وجود آمده در میلگرد</t>
  </si>
  <si>
    <t>مقاومت طراحی میلگرد</t>
  </si>
  <si>
    <t>ضریب مقاومت اعمال شده به میلگرد</t>
  </si>
  <si>
    <t>مقدار مجاز آیین نامه</t>
  </si>
  <si>
    <t>در صورتی که ضریب مقاومت اعمال شده به میلگرد از مقدار مجاز آیین نامه بیشتر باشد، باید فرضیات مسئله را عوض نمود</t>
  </si>
  <si>
    <t>ضریب محل میلگرد</t>
  </si>
  <si>
    <t>ضریب سطح میلگرد</t>
  </si>
  <si>
    <t>مدول الاستیسیته میلگرد</t>
  </si>
  <si>
    <t>مدول الاستیسیته فولاد</t>
  </si>
  <si>
    <t>ضریب میلگرد برشی</t>
  </si>
  <si>
    <t>مقاومت ترک خوردگی بتن</t>
  </si>
  <si>
    <t>محاسبه طول مهاری یا طول چسبندگی</t>
  </si>
  <si>
    <t>مشخصات بتن</t>
  </si>
  <si>
    <t>مشخصات میلگرد</t>
  </si>
  <si>
    <t>مشخصات دال</t>
  </si>
  <si>
    <t>در تکیه گاه</t>
  </si>
  <si>
    <r>
      <t xml:space="preserve">در </t>
    </r>
    <r>
      <rPr>
        <sz val="11"/>
        <color theme="1"/>
        <rFont val="Times New Roman"/>
        <family val="1"/>
        <scheme val="major"/>
      </rPr>
      <t>0.1L</t>
    </r>
  </si>
  <si>
    <r>
      <t xml:space="preserve">در </t>
    </r>
    <r>
      <rPr>
        <sz val="11"/>
        <color theme="1"/>
        <rFont val="Times New Roman"/>
        <family val="1"/>
        <scheme val="major"/>
      </rPr>
      <t>0.2L</t>
    </r>
  </si>
  <si>
    <r>
      <t xml:space="preserve">در </t>
    </r>
    <r>
      <rPr>
        <sz val="11"/>
        <color theme="1"/>
        <rFont val="Times New Roman"/>
        <family val="1"/>
        <scheme val="major"/>
      </rPr>
      <t>0.3L</t>
    </r>
  </si>
  <si>
    <r>
      <t xml:space="preserve">در </t>
    </r>
    <r>
      <rPr>
        <sz val="11"/>
        <color theme="1"/>
        <rFont val="Times New Roman"/>
        <family val="1"/>
        <scheme val="major"/>
      </rPr>
      <t>0.4L</t>
    </r>
  </si>
  <si>
    <t>در وسط دهانه</t>
  </si>
  <si>
    <t>مقادیر بارها</t>
  </si>
  <si>
    <t>توزیع بار</t>
  </si>
  <si>
    <t xml:space="preserve">طراحی </t>
  </si>
  <si>
    <t>چک کردن حد سرویس و نشست ها و ترک های به وجود آمده</t>
  </si>
  <si>
    <t>محاسبه طول مهاری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</si>
</sst>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  <scheme val="minor"/>
    </font>
    <font>
      <sz val="11"/>
      <color theme="1"/>
      <name val="B Nazanin"/>
      <charset val="178"/>
    </font>
    <font>
      <sz val="11"/>
      <color theme="1"/>
      <name val="Times New Roman"/>
      <family val="1"/>
      <scheme val="major"/>
    </font>
    <font>
      <sz val="11"/>
      <color theme="1"/>
      <name val="Calibri"/>
      <family val="2"/>
    </font>
    <font>
      <sz val="11"/>
      <color theme="0"/>
      <name val="B Nazanin"/>
      <charset val="178"/>
    </font>
    <font>
      <sz val="11"/>
      <color rgb="FFFF000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" fillId="8" borderId="0" xfId="0" applyFont="1" applyFill="1" applyAlignment="1" applyProtection="1">
      <alignment horizontal="center" vertical="center"/>
    </xf>
    <xf numFmtId="0" fontId="0" fillId="7" borderId="0" xfId="0" applyFill="1" applyAlignment="1" applyProtection="1">
      <alignment horizontal="center"/>
    </xf>
    <xf numFmtId="0" fontId="5" fillId="7" borderId="0" xfId="0" applyFont="1" applyFill="1" applyAlignment="1" applyProtection="1">
      <alignment horizontal="center"/>
    </xf>
    <xf numFmtId="0" fontId="1" fillId="9" borderId="0" xfId="0" applyFont="1" applyFill="1" applyAlignment="1" applyProtection="1">
      <alignment horizontal="center" vertical="center"/>
    </xf>
    <xf numFmtId="0" fontId="1" fillId="7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 wrapText="1"/>
    </xf>
    <xf numFmtId="0" fontId="1" fillId="6" borderId="0" xfId="0" applyFont="1" applyFill="1" applyAlignment="1" applyProtection="1">
      <alignment horizontal="center" vertical="center"/>
    </xf>
    <xf numFmtId="0" fontId="4" fillId="5" borderId="0" xfId="0" applyFont="1" applyFill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fzir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fzi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1012825</xdr:colOff>
      <xdr:row>1</xdr:row>
      <xdr:rowOff>215900</xdr:rowOff>
    </xdr:to>
    <xdr:pic>
      <xdr:nvPicPr>
        <xdr:cNvPr id="2" name="Picture 1" descr="C:\Users\a.kiani\Desktop\Datasheet\Logo\Datasheet 95.9.22 2.png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774" t="2732" r="9823" b="91685"/>
        <a:stretch/>
      </xdr:blipFill>
      <xdr:spPr bwMode="auto">
        <a:xfrm>
          <a:off x="0" y="0"/>
          <a:ext cx="1012825" cy="596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1012825</xdr:colOff>
      <xdr:row>1</xdr:row>
      <xdr:rowOff>177800</xdr:rowOff>
    </xdr:to>
    <xdr:pic>
      <xdr:nvPicPr>
        <xdr:cNvPr id="4" name="Picture 3" descr="C:\Users\a.kiani\Desktop\Datasheet\Logo\Datasheet 95.9.22 2.png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774" t="2732" r="9823" b="91685"/>
        <a:stretch/>
      </xdr:blipFill>
      <xdr:spPr bwMode="auto">
        <a:xfrm>
          <a:off x="0" y="0"/>
          <a:ext cx="1012825" cy="596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workbookViewId="0">
      <selection activeCell="C3" sqref="C3"/>
    </sheetView>
  </sheetViews>
  <sheetFormatPr defaultRowHeight="14.25" x14ac:dyDescent="0.2"/>
  <cols>
    <col min="1" max="1" width="23.625" customWidth="1"/>
    <col min="7" max="7" width="15.375" customWidth="1"/>
    <col min="9" max="9" width="10.375" customWidth="1"/>
    <col min="16" max="16" width="17.375" customWidth="1"/>
  </cols>
  <sheetData>
    <row r="1" spans="1:20" ht="30" customHeight="1" x14ac:dyDescent="0.2"/>
    <row r="2" spans="1:20" ht="18" x14ac:dyDescent="0.2">
      <c r="A2" s="7"/>
      <c r="B2" s="7" t="s">
        <v>1</v>
      </c>
      <c r="C2" s="7" t="s">
        <v>2</v>
      </c>
      <c r="D2" s="7"/>
      <c r="E2" s="10"/>
      <c r="F2" s="9"/>
      <c r="G2" s="9"/>
      <c r="H2" s="7" t="s">
        <v>1</v>
      </c>
      <c r="I2" s="7" t="s">
        <v>19</v>
      </c>
      <c r="J2" s="7" t="s">
        <v>20</v>
      </c>
      <c r="K2" s="7"/>
      <c r="L2" s="7"/>
      <c r="M2" s="7"/>
      <c r="N2" s="7"/>
      <c r="O2" s="7"/>
      <c r="P2" s="7"/>
      <c r="Q2" s="9"/>
      <c r="R2" s="9"/>
      <c r="S2" s="9"/>
      <c r="T2" s="9"/>
    </row>
    <row r="3" spans="1:20" ht="18" x14ac:dyDescent="0.2">
      <c r="A3" s="7" t="s">
        <v>0</v>
      </c>
      <c r="B3" s="8" t="s">
        <v>4</v>
      </c>
      <c r="C3" s="5">
        <v>40</v>
      </c>
      <c r="D3" s="17" t="s">
        <v>88</v>
      </c>
      <c r="E3" s="17"/>
      <c r="F3" s="9"/>
      <c r="G3" s="7" t="s">
        <v>18</v>
      </c>
      <c r="H3" s="8" t="s">
        <v>21</v>
      </c>
      <c r="I3" s="5">
        <v>8.09</v>
      </c>
      <c r="J3" s="5">
        <v>9.6999999999999993</v>
      </c>
      <c r="K3" s="14" t="s">
        <v>97</v>
      </c>
      <c r="L3" s="14"/>
      <c r="M3" s="9"/>
      <c r="N3" s="9"/>
      <c r="O3" s="9"/>
      <c r="P3" s="9"/>
      <c r="Q3" s="9"/>
      <c r="R3" s="9"/>
      <c r="S3" s="9"/>
      <c r="T3" s="9"/>
    </row>
    <row r="4" spans="1:20" ht="18" x14ac:dyDescent="0.2">
      <c r="A4" s="7" t="s">
        <v>5</v>
      </c>
      <c r="B4" s="8" t="s">
        <v>4</v>
      </c>
      <c r="C4" s="5">
        <v>28400</v>
      </c>
      <c r="D4" s="17"/>
      <c r="E4" s="17"/>
      <c r="F4" s="9"/>
      <c r="G4" s="7" t="s">
        <v>22</v>
      </c>
      <c r="H4" s="8" t="s">
        <v>21</v>
      </c>
      <c r="I4" s="5">
        <v>4.32</v>
      </c>
      <c r="J4" s="5">
        <v>8.16</v>
      </c>
      <c r="K4" s="14"/>
      <c r="L4" s="14"/>
      <c r="M4" s="9"/>
      <c r="N4" s="9"/>
      <c r="O4" s="9"/>
      <c r="P4" s="9"/>
      <c r="Q4" s="9"/>
      <c r="R4" s="9"/>
      <c r="S4" s="9"/>
      <c r="T4" s="9"/>
    </row>
    <row r="5" spans="1:20" ht="18" x14ac:dyDescent="0.2">
      <c r="A5" s="7" t="s">
        <v>6</v>
      </c>
      <c r="B5" s="8" t="s">
        <v>7</v>
      </c>
      <c r="C5" s="5">
        <f>-2*10^(-3)</f>
        <v>-2E-3</v>
      </c>
      <c r="D5" s="17"/>
      <c r="E5" s="17"/>
      <c r="F5" s="9"/>
      <c r="G5" s="7" t="s">
        <v>23</v>
      </c>
      <c r="H5" s="8" t="s">
        <v>21</v>
      </c>
      <c r="I5" s="5">
        <v>2.12</v>
      </c>
      <c r="J5" s="5">
        <v>3.17</v>
      </c>
      <c r="K5" s="14"/>
      <c r="L5" s="14"/>
      <c r="M5" s="9"/>
      <c r="N5" s="9"/>
      <c r="O5" s="9"/>
      <c r="P5" s="9"/>
      <c r="Q5" s="9"/>
      <c r="R5" s="9"/>
      <c r="S5" s="9"/>
      <c r="T5" s="9"/>
    </row>
    <row r="6" spans="1:20" ht="18" x14ac:dyDescent="0.2">
      <c r="A6" s="7" t="s">
        <v>8</v>
      </c>
      <c r="B6" s="8" t="s">
        <v>9</v>
      </c>
      <c r="C6" s="5">
        <v>2450</v>
      </c>
      <c r="D6" s="17"/>
      <c r="E6" s="17"/>
      <c r="F6" s="9"/>
      <c r="G6" s="7" t="s">
        <v>24</v>
      </c>
      <c r="H6" s="8" t="s">
        <v>21</v>
      </c>
      <c r="I6" s="6">
        <f>SUM(I3:I5)</f>
        <v>14.530000000000001</v>
      </c>
      <c r="J6" s="6">
        <f>SUM(J3:J5)</f>
        <v>21.03</v>
      </c>
      <c r="K6" s="14"/>
      <c r="L6" s="14"/>
      <c r="M6" s="9"/>
      <c r="N6" s="9"/>
      <c r="O6" s="9"/>
      <c r="P6" s="9"/>
      <c r="Q6" s="9"/>
      <c r="R6" s="9"/>
      <c r="S6" s="9"/>
      <c r="T6" s="9"/>
    </row>
    <row r="7" spans="1:20" ht="18" x14ac:dyDescent="0.2">
      <c r="A7" s="7" t="s">
        <v>63</v>
      </c>
      <c r="B7" s="8"/>
      <c r="C7" s="5">
        <v>0.7</v>
      </c>
      <c r="D7" s="17"/>
      <c r="E7" s="17"/>
      <c r="F7" s="9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8" x14ac:dyDescent="0.2">
      <c r="A8" s="7" t="s">
        <v>64</v>
      </c>
      <c r="B8" s="8"/>
      <c r="C8" s="5">
        <v>1</v>
      </c>
      <c r="D8" s="17"/>
      <c r="E8" s="17"/>
      <c r="F8" s="9"/>
      <c r="G8" s="9"/>
      <c r="H8" s="7" t="s">
        <v>1</v>
      </c>
      <c r="I8" s="7" t="s">
        <v>91</v>
      </c>
      <c r="J8" s="7" t="s">
        <v>92</v>
      </c>
      <c r="K8" s="7" t="s">
        <v>93</v>
      </c>
      <c r="L8" s="7" t="s">
        <v>94</v>
      </c>
      <c r="M8" s="7" t="s">
        <v>95</v>
      </c>
      <c r="N8" s="7" t="s">
        <v>96</v>
      </c>
      <c r="O8" s="7"/>
      <c r="P8" s="7"/>
      <c r="Q8" s="7" t="s">
        <v>1</v>
      </c>
      <c r="R8" s="7" t="s">
        <v>2</v>
      </c>
      <c r="S8" s="11"/>
      <c r="T8" s="12"/>
    </row>
    <row r="9" spans="1:20" ht="18" x14ac:dyDescent="0.2">
      <c r="A9" s="18"/>
      <c r="B9" s="18"/>
      <c r="C9" s="18"/>
      <c r="D9" s="18"/>
      <c r="E9" s="18"/>
      <c r="F9" s="9"/>
      <c r="G9" s="8" t="s">
        <v>25</v>
      </c>
      <c r="H9" s="8" t="s">
        <v>26</v>
      </c>
      <c r="I9" s="5">
        <v>0.26</v>
      </c>
      <c r="J9" s="6">
        <f>C21*0.1/1000</f>
        <v>0.6</v>
      </c>
      <c r="K9" s="6">
        <f>C21*0.2/1000</f>
        <v>1.2</v>
      </c>
      <c r="L9" s="6">
        <f>C21*0.3/1000</f>
        <v>1.8</v>
      </c>
      <c r="M9" s="6">
        <f>C21*0.4/1000</f>
        <v>2.4</v>
      </c>
      <c r="N9" s="6">
        <f>C21*0.5/1000</f>
        <v>3</v>
      </c>
      <c r="O9" s="7"/>
      <c r="P9" s="7"/>
      <c r="Q9" s="7"/>
      <c r="R9" s="7"/>
      <c r="S9" s="14" t="s">
        <v>98</v>
      </c>
      <c r="T9" s="14"/>
    </row>
    <row r="10" spans="1:20" ht="18" x14ac:dyDescent="0.2">
      <c r="A10" s="7" t="s">
        <v>10</v>
      </c>
      <c r="B10" s="8" t="s">
        <v>11</v>
      </c>
      <c r="C10" s="5">
        <v>16</v>
      </c>
      <c r="D10" s="17" t="s">
        <v>89</v>
      </c>
      <c r="E10" s="17"/>
      <c r="F10" s="9"/>
      <c r="G10" s="7" t="s">
        <v>27</v>
      </c>
      <c r="H10" s="8" t="s">
        <v>28</v>
      </c>
      <c r="I10" s="5">
        <v>10.77</v>
      </c>
      <c r="J10" s="5">
        <v>23.52</v>
      </c>
      <c r="K10" s="5">
        <v>41.82</v>
      </c>
      <c r="L10" s="5">
        <v>54.89</v>
      </c>
      <c r="M10" s="5">
        <v>62.73</v>
      </c>
      <c r="N10" s="5">
        <v>65.34</v>
      </c>
      <c r="O10" s="7" t="s">
        <v>38</v>
      </c>
      <c r="P10" s="7" t="s">
        <v>56</v>
      </c>
      <c r="Q10" s="8" t="s">
        <v>28</v>
      </c>
      <c r="R10" s="6">
        <f>MAX(I10:N10)</f>
        <v>65.34</v>
      </c>
      <c r="S10" s="14"/>
      <c r="T10" s="14"/>
    </row>
    <row r="11" spans="1:20" ht="18" x14ac:dyDescent="0.2">
      <c r="A11" s="7" t="s">
        <v>5</v>
      </c>
      <c r="B11" s="8" t="s">
        <v>4</v>
      </c>
      <c r="C11" s="5">
        <v>60000</v>
      </c>
      <c r="D11" s="17"/>
      <c r="E11" s="17"/>
      <c r="F11" s="9"/>
      <c r="G11" s="7" t="s">
        <v>29</v>
      </c>
      <c r="H11" s="8" t="s">
        <v>30</v>
      </c>
      <c r="I11" s="5">
        <v>39.81</v>
      </c>
      <c r="J11" s="5">
        <v>34.85</v>
      </c>
      <c r="K11" s="5">
        <v>26.14</v>
      </c>
      <c r="L11" s="5">
        <v>17.420000000000002</v>
      </c>
      <c r="M11" s="5">
        <v>8.7100000000000009</v>
      </c>
      <c r="N11" s="5">
        <v>0</v>
      </c>
      <c r="O11" s="7" t="s">
        <v>38</v>
      </c>
      <c r="P11" s="7" t="s">
        <v>57</v>
      </c>
      <c r="Q11" s="8" t="s">
        <v>30</v>
      </c>
      <c r="R11" s="6">
        <f t="shared" ref="R11:R13" si="0">MAX(I11:N11)</f>
        <v>39.81</v>
      </c>
      <c r="S11" s="14"/>
      <c r="T11" s="14"/>
    </row>
    <row r="12" spans="1:20" ht="18" x14ac:dyDescent="0.2">
      <c r="A12" s="7" t="s">
        <v>12</v>
      </c>
      <c r="B12" s="8" t="s">
        <v>4</v>
      </c>
      <c r="C12" s="5">
        <v>1150</v>
      </c>
      <c r="D12" s="17"/>
      <c r="E12" s="17"/>
      <c r="F12" s="9"/>
      <c r="G12" s="7" t="s">
        <v>31</v>
      </c>
      <c r="H12" s="8" t="s">
        <v>28</v>
      </c>
      <c r="I12" s="5">
        <v>15.6</v>
      </c>
      <c r="J12" s="5">
        <v>34.08</v>
      </c>
      <c r="K12" s="5">
        <v>60.58</v>
      </c>
      <c r="L12" s="5">
        <v>79.510000000000005</v>
      </c>
      <c r="M12" s="5">
        <v>90.87</v>
      </c>
      <c r="N12" s="5">
        <v>94.66</v>
      </c>
      <c r="O12" s="7" t="s">
        <v>38</v>
      </c>
      <c r="P12" s="7" t="s">
        <v>55</v>
      </c>
      <c r="Q12" s="8" t="s">
        <v>28</v>
      </c>
      <c r="R12" s="6">
        <f t="shared" si="0"/>
        <v>94.66</v>
      </c>
      <c r="S12" s="14"/>
      <c r="T12" s="14"/>
    </row>
    <row r="13" spans="1:20" ht="18" x14ac:dyDescent="0.2">
      <c r="A13" s="7" t="s">
        <v>13</v>
      </c>
      <c r="B13" s="8" t="s">
        <v>7</v>
      </c>
      <c r="C13" s="5">
        <v>1.92</v>
      </c>
      <c r="D13" s="17"/>
      <c r="E13" s="17"/>
      <c r="F13" s="9"/>
      <c r="G13" s="7" t="s">
        <v>32</v>
      </c>
      <c r="H13" s="8" t="s">
        <v>30</v>
      </c>
      <c r="I13" s="5">
        <v>57.67</v>
      </c>
      <c r="J13" s="5">
        <v>50.48</v>
      </c>
      <c r="K13" s="5">
        <v>37.86</v>
      </c>
      <c r="L13" s="5">
        <v>25.24</v>
      </c>
      <c r="M13" s="5">
        <v>12.62</v>
      </c>
      <c r="N13" s="5">
        <v>0</v>
      </c>
      <c r="O13" s="7" t="s">
        <v>38</v>
      </c>
      <c r="P13" s="7" t="s">
        <v>58</v>
      </c>
      <c r="Q13" s="8" t="s">
        <v>30</v>
      </c>
      <c r="R13" s="6">
        <f t="shared" si="0"/>
        <v>57.67</v>
      </c>
      <c r="S13" s="14"/>
      <c r="T13" s="14"/>
    </row>
    <row r="14" spans="1:20" ht="18" x14ac:dyDescent="0.2">
      <c r="A14" s="7" t="s">
        <v>41</v>
      </c>
      <c r="B14" s="8" t="s">
        <v>37</v>
      </c>
      <c r="C14" s="5">
        <v>200</v>
      </c>
      <c r="D14" s="17"/>
      <c r="E14" s="17"/>
      <c r="F14" s="9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ht="18" x14ac:dyDescent="0.2">
      <c r="A15" s="13" t="s">
        <v>62</v>
      </c>
      <c r="B15" s="8"/>
      <c r="C15" s="5">
        <v>0.5</v>
      </c>
      <c r="D15" s="17"/>
      <c r="E15" s="17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18" x14ac:dyDescent="0.2">
      <c r="A16" s="13" t="s">
        <v>61</v>
      </c>
      <c r="B16" s="8"/>
      <c r="C16" s="5">
        <v>1</v>
      </c>
      <c r="D16" s="17"/>
      <c r="E16" s="17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ht="18" x14ac:dyDescent="0.2">
      <c r="A17" s="18"/>
      <c r="B17" s="18"/>
      <c r="C17" s="18"/>
      <c r="D17" s="18"/>
      <c r="E17" s="1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ht="18" x14ac:dyDescent="0.2">
      <c r="A18" s="7" t="s">
        <v>14</v>
      </c>
      <c r="B18" s="8" t="s">
        <v>11</v>
      </c>
      <c r="C18" s="5">
        <v>330</v>
      </c>
      <c r="D18" s="17" t="s">
        <v>90</v>
      </c>
      <c r="E18" s="17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8" x14ac:dyDescent="0.2">
      <c r="A19" s="7" t="s">
        <v>15</v>
      </c>
      <c r="B19" s="8" t="s">
        <v>11</v>
      </c>
      <c r="C19" s="5">
        <v>35</v>
      </c>
      <c r="D19" s="17"/>
      <c r="E19" s="17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8" x14ac:dyDescent="0.2">
      <c r="A20" s="7" t="s">
        <v>16</v>
      </c>
      <c r="B20" s="8" t="s">
        <v>11</v>
      </c>
      <c r="C20" s="5">
        <v>287</v>
      </c>
      <c r="D20" s="17"/>
      <c r="E20" s="17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18" x14ac:dyDescent="0.2">
      <c r="A21" s="7" t="s">
        <v>17</v>
      </c>
      <c r="B21" s="8" t="s">
        <v>11</v>
      </c>
      <c r="C21" s="5">
        <v>6000</v>
      </c>
      <c r="D21" s="17"/>
      <c r="E21" s="17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18" x14ac:dyDescent="0.2">
      <c r="A22" s="18"/>
      <c r="B22" s="18"/>
      <c r="C22" s="18"/>
      <c r="D22" s="18"/>
      <c r="E22" s="1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18" x14ac:dyDescent="0.2">
      <c r="A23" s="2"/>
      <c r="B23" s="2"/>
      <c r="C23" s="2"/>
      <c r="D23" s="2"/>
      <c r="E23" s="3"/>
    </row>
    <row r="24" spans="1:20" ht="18" x14ac:dyDescent="0.2">
      <c r="A24" s="2"/>
      <c r="B24" s="2"/>
      <c r="C24" s="2"/>
      <c r="D24" s="2"/>
      <c r="E24" s="3"/>
    </row>
    <row r="25" spans="1:20" ht="18" x14ac:dyDescent="0.2">
      <c r="A25" s="2"/>
      <c r="B25" s="2"/>
      <c r="C25" s="2"/>
      <c r="D25" s="2"/>
      <c r="E25" s="3"/>
    </row>
    <row r="26" spans="1:20" ht="18" x14ac:dyDescent="0.2">
      <c r="A26" s="2"/>
      <c r="B26" s="2"/>
      <c r="C26" s="2"/>
      <c r="D26" s="2"/>
      <c r="E26" s="3"/>
    </row>
    <row r="27" spans="1:20" ht="18" x14ac:dyDescent="0.2">
      <c r="A27" s="2"/>
      <c r="B27" s="2"/>
      <c r="C27" s="2"/>
      <c r="D27" s="2"/>
      <c r="E27" s="3"/>
    </row>
    <row r="28" spans="1:20" ht="18" x14ac:dyDescent="0.2">
      <c r="A28" s="2"/>
      <c r="B28" s="2"/>
      <c r="C28" s="2"/>
      <c r="D28" s="2"/>
      <c r="E28" s="3"/>
    </row>
    <row r="29" spans="1:20" ht="18" x14ac:dyDescent="0.2">
      <c r="A29" s="2"/>
      <c r="B29" s="2"/>
      <c r="C29" s="2"/>
      <c r="D29" s="2"/>
      <c r="E29" s="3"/>
    </row>
    <row r="30" spans="1:20" ht="18" x14ac:dyDescent="0.2">
      <c r="A30" s="2"/>
      <c r="B30" s="2"/>
      <c r="C30" s="2"/>
      <c r="D30" s="2"/>
      <c r="E30" s="3"/>
    </row>
    <row r="31" spans="1:20" ht="18" x14ac:dyDescent="0.2">
      <c r="A31" s="2"/>
      <c r="B31" s="2"/>
      <c r="C31" s="2"/>
      <c r="D31" s="2"/>
      <c r="E31" s="3"/>
    </row>
    <row r="32" spans="1:20" ht="18" x14ac:dyDescent="0.45">
      <c r="A32" s="1"/>
      <c r="B32" s="1"/>
      <c r="C32" s="1"/>
      <c r="D32" s="1"/>
    </row>
    <row r="33" spans="1:4" ht="18" x14ac:dyDescent="0.45">
      <c r="A33" s="1"/>
      <c r="B33" s="1"/>
      <c r="C33" s="1"/>
      <c r="D33" s="1"/>
    </row>
    <row r="34" spans="1:4" ht="18" x14ac:dyDescent="0.45">
      <c r="A34" s="1"/>
      <c r="B34" s="1"/>
      <c r="C34" s="1"/>
      <c r="D34" s="1"/>
    </row>
    <row r="35" spans="1:4" ht="18" x14ac:dyDescent="0.45">
      <c r="A35" s="1"/>
      <c r="B35" s="1"/>
      <c r="C35" s="1"/>
      <c r="D35" s="1"/>
    </row>
  </sheetData>
  <sheetProtection algorithmName="SHA-512" hashValue="UBl8m+L0wg7QHE74lXIsbZM2140f5OU188Gh/YB9lqIQX2NgJtcrgpILOPI+IKvd9AViwIX3xzNF8zABap6qQw==" saltValue="ViQlI5eU7Rkrg3It2CGdq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D18:E21"/>
    <mergeCell ref="A9:E9"/>
    <mergeCell ref="A17:E17"/>
    <mergeCell ref="A22:E22"/>
    <mergeCell ref="K3:L6"/>
    <mergeCell ref="G14:T14"/>
    <mergeCell ref="G7:T7"/>
    <mergeCell ref="S9:T13"/>
    <mergeCell ref="D3:E8"/>
    <mergeCell ref="D10:E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1"/>
  <sheetViews>
    <sheetView workbookViewId="0">
      <selection activeCell="C21" sqref="C21"/>
    </sheetView>
  </sheetViews>
  <sheetFormatPr defaultRowHeight="14.25" x14ac:dyDescent="0.2"/>
  <cols>
    <col min="1" max="1" width="42.5" customWidth="1"/>
    <col min="4" max="4" width="13.5" customWidth="1"/>
    <col min="5" max="5" width="12.375" customWidth="1"/>
    <col min="9" max="9" width="26" customWidth="1"/>
    <col min="10" max="10" width="9" customWidth="1"/>
  </cols>
  <sheetData>
    <row r="1" spans="1:13" ht="33" customHeight="1" x14ac:dyDescent="0.2"/>
    <row r="2" spans="1:13" ht="18" x14ac:dyDescent="0.2">
      <c r="A2" s="7"/>
      <c r="B2" s="7" t="s">
        <v>1</v>
      </c>
      <c r="C2" s="7" t="s">
        <v>2</v>
      </c>
      <c r="D2" s="7"/>
      <c r="E2" s="7"/>
      <c r="F2" s="7"/>
      <c r="G2" s="7"/>
      <c r="H2" s="7"/>
      <c r="I2" s="7"/>
      <c r="J2" s="7"/>
      <c r="K2" s="7"/>
      <c r="L2" s="14" t="s">
        <v>99</v>
      </c>
      <c r="M2" s="14"/>
    </row>
    <row r="3" spans="1:13" ht="18" x14ac:dyDescent="0.2">
      <c r="A3" s="7" t="s">
        <v>33</v>
      </c>
      <c r="B3" s="8" t="s">
        <v>11</v>
      </c>
      <c r="C3" s="6">
        <f>'داده ها'!C18-'داده ها'!C19-0.5*'داده ها'!C10</f>
        <v>287</v>
      </c>
      <c r="D3" s="7"/>
      <c r="E3" s="7"/>
      <c r="F3" s="7"/>
      <c r="G3" s="7"/>
      <c r="H3" s="7"/>
      <c r="I3" s="7"/>
      <c r="J3" s="7"/>
      <c r="K3" s="7"/>
      <c r="L3" s="14"/>
      <c r="M3" s="14"/>
    </row>
    <row r="4" spans="1:13" ht="18" x14ac:dyDescent="0.2">
      <c r="A4" s="7" t="s">
        <v>34</v>
      </c>
      <c r="B4" s="8"/>
      <c r="C4" s="5">
        <v>6</v>
      </c>
      <c r="D4" s="7" t="s">
        <v>38</v>
      </c>
      <c r="E4" s="7" t="s">
        <v>39</v>
      </c>
      <c r="F4" s="8" t="s">
        <v>11</v>
      </c>
      <c r="G4" s="6">
        <f>1000/C4</f>
        <v>166.66666666666666</v>
      </c>
      <c r="H4" s="7" t="s">
        <v>38</v>
      </c>
      <c r="I4" s="7" t="s">
        <v>40</v>
      </c>
      <c r="J4" s="8" t="s">
        <v>11</v>
      </c>
      <c r="K4" s="5">
        <v>167</v>
      </c>
      <c r="L4" s="14"/>
      <c r="M4" s="14"/>
    </row>
    <row r="5" spans="1:13" ht="18" x14ac:dyDescent="0.2">
      <c r="A5" s="7" t="s">
        <v>36</v>
      </c>
      <c r="B5" s="8" t="s">
        <v>37</v>
      </c>
      <c r="C5" s="6">
        <f>C4*'داده ها'!C14</f>
        <v>1200</v>
      </c>
      <c r="D5" s="7"/>
      <c r="E5" s="7"/>
      <c r="F5" s="7"/>
      <c r="G5" s="7"/>
      <c r="H5" s="7"/>
      <c r="I5" s="7"/>
      <c r="J5" s="7"/>
      <c r="K5" s="7"/>
      <c r="L5" s="14"/>
      <c r="M5" s="14"/>
    </row>
    <row r="6" spans="1:13" ht="18" x14ac:dyDescent="0.2">
      <c r="A6" s="7" t="s">
        <v>35</v>
      </c>
      <c r="B6" s="8" t="s">
        <v>7</v>
      </c>
      <c r="C6" s="5">
        <f>-1.95*10^-3</f>
        <v>-1.9499999999999999E-3</v>
      </c>
      <c r="D6" s="7"/>
      <c r="E6" s="7"/>
      <c r="F6" s="7"/>
      <c r="G6" s="7"/>
      <c r="H6" s="7"/>
      <c r="I6" s="7"/>
      <c r="J6" s="7"/>
      <c r="K6" s="7"/>
      <c r="L6" s="14"/>
      <c r="M6" s="14"/>
    </row>
    <row r="7" spans="1:13" ht="18" x14ac:dyDescent="0.2">
      <c r="A7" s="7" t="s">
        <v>43</v>
      </c>
      <c r="B7" s="8"/>
      <c r="C7" s="6">
        <f>(4-C6/'داده ها'!C5)/(6-2*طراحی!C6/'داده ها'!C5)</f>
        <v>0.74691358024691357</v>
      </c>
      <c r="D7" s="7"/>
      <c r="E7" s="7"/>
      <c r="F7" s="7"/>
      <c r="G7" s="7"/>
      <c r="H7" s="7"/>
      <c r="I7" s="7"/>
      <c r="J7" s="7"/>
      <c r="K7" s="7"/>
      <c r="L7" s="14"/>
      <c r="M7" s="14"/>
    </row>
    <row r="8" spans="1:13" ht="18" x14ac:dyDescent="0.2">
      <c r="A8" s="7" t="s">
        <v>42</v>
      </c>
      <c r="B8" s="8"/>
      <c r="C8" s="6">
        <f>1/C7*(C6/'داده ها'!C5-1/3*(طراحی!C6/'داده ها'!C5)^2)</f>
        <v>0.88112603305785131</v>
      </c>
      <c r="D8" s="7"/>
      <c r="E8" s="7"/>
      <c r="F8" s="7"/>
      <c r="G8" s="7"/>
      <c r="H8" s="7"/>
      <c r="I8" s="7"/>
      <c r="J8" s="7"/>
      <c r="K8" s="7"/>
      <c r="L8" s="14"/>
      <c r="M8" s="14"/>
    </row>
    <row r="9" spans="1:13" ht="18" x14ac:dyDescent="0.2">
      <c r="A9" s="7" t="s">
        <v>44</v>
      </c>
      <c r="B9" s="8" t="s">
        <v>11</v>
      </c>
      <c r="C9" s="5">
        <v>28.6</v>
      </c>
      <c r="D9" s="7"/>
      <c r="E9" s="7"/>
      <c r="F9" s="7"/>
      <c r="G9" s="7"/>
      <c r="H9" s="7"/>
      <c r="I9" s="7"/>
      <c r="J9" s="7"/>
      <c r="K9" s="7"/>
      <c r="L9" s="14"/>
      <c r="M9" s="14"/>
    </row>
    <row r="10" spans="1:13" ht="18" x14ac:dyDescent="0.2">
      <c r="A10" s="7" t="s">
        <v>45</v>
      </c>
      <c r="B10" s="8" t="s">
        <v>7</v>
      </c>
      <c r="C10" s="6">
        <f>-C6/C9*(C3-C9)</f>
        <v>1.7618181818181814E-2</v>
      </c>
      <c r="D10" s="7"/>
      <c r="E10" s="7"/>
      <c r="F10" s="7"/>
      <c r="G10" s="7"/>
      <c r="H10" s="7"/>
      <c r="I10" s="7"/>
      <c r="J10" s="7"/>
      <c r="K10" s="7"/>
      <c r="L10" s="14"/>
      <c r="M10" s="14"/>
    </row>
    <row r="11" spans="1:13" ht="18" x14ac:dyDescent="0.2">
      <c r="A11" s="7" t="s">
        <v>46</v>
      </c>
      <c r="B11" s="8" t="s">
        <v>4</v>
      </c>
      <c r="C11" s="6">
        <f>C10*'داده ها'!C11</f>
        <v>1057.0909090909088</v>
      </c>
      <c r="D11" s="7"/>
      <c r="E11" s="7"/>
      <c r="F11" s="7"/>
      <c r="G11" s="7"/>
      <c r="H11" s="7"/>
      <c r="I11" s="7"/>
      <c r="J11" s="7"/>
      <c r="K11" s="7"/>
      <c r="L11" s="14"/>
      <c r="M11" s="14"/>
    </row>
    <row r="12" spans="1:13" ht="18" x14ac:dyDescent="0.2">
      <c r="A12" s="7" t="s">
        <v>47</v>
      </c>
      <c r="B12" s="8" t="s">
        <v>30</v>
      </c>
      <c r="C12" s="6">
        <f>'داده ها'!C15*طراحی!C11*'داده ها'!C14/1000</f>
        <v>105.70909090909089</v>
      </c>
      <c r="D12" s="7"/>
      <c r="E12" s="7"/>
      <c r="F12" s="7"/>
      <c r="G12" s="7"/>
      <c r="H12" s="7"/>
      <c r="I12" s="7"/>
      <c r="J12" s="7"/>
      <c r="K12" s="7"/>
      <c r="L12" s="14"/>
      <c r="M12" s="14"/>
    </row>
    <row r="13" spans="1:13" ht="18" x14ac:dyDescent="0.2">
      <c r="A13" s="7" t="s">
        <v>48</v>
      </c>
      <c r="B13" s="8" t="s">
        <v>30</v>
      </c>
      <c r="C13" s="6">
        <f>C12*C4</f>
        <v>634.25454545454534</v>
      </c>
      <c r="D13" s="7"/>
      <c r="E13" s="7"/>
      <c r="F13" s="7"/>
      <c r="G13" s="7"/>
      <c r="H13" s="7"/>
      <c r="I13" s="7"/>
      <c r="J13" s="7"/>
      <c r="K13" s="7"/>
      <c r="L13" s="14"/>
      <c r="M13" s="14"/>
    </row>
    <row r="14" spans="1:13" ht="18" x14ac:dyDescent="0.2">
      <c r="A14" s="7" t="s">
        <v>49</v>
      </c>
      <c r="B14" s="8" t="s">
        <v>11</v>
      </c>
      <c r="C14" s="6">
        <f>C13/'داده ها'!C3/'داده ها'!C7/طراحی!C8</f>
        <v>25.707954596843482</v>
      </c>
      <c r="D14" s="7"/>
      <c r="E14" s="7"/>
      <c r="F14" s="7"/>
      <c r="G14" s="7"/>
      <c r="H14" s="7"/>
      <c r="I14" s="7"/>
      <c r="J14" s="7"/>
      <c r="K14" s="7"/>
      <c r="L14" s="14"/>
      <c r="M14" s="14"/>
    </row>
    <row r="15" spans="1:13" ht="18" x14ac:dyDescent="0.2">
      <c r="A15" s="7" t="s">
        <v>50</v>
      </c>
      <c r="B15" s="8"/>
      <c r="C15" s="6">
        <f>C14/C7</f>
        <v>34.418914418914412</v>
      </c>
      <c r="D15" s="7" t="s">
        <v>51</v>
      </c>
      <c r="E15" s="6">
        <f>C9</f>
        <v>28.6</v>
      </c>
      <c r="F15" s="7"/>
      <c r="G15" s="7"/>
      <c r="H15" s="7"/>
      <c r="I15" s="7"/>
      <c r="J15" s="7"/>
      <c r="K15" s="7"/>
      <c r="L15" s="14"/>
      <c r="M15" s="14"/>
    </row>
    <row r="16" spans="1:13" ht="18" x14ac:dyDescent="0.2">
      <c r="A16" s="22" t="s">
        <v>52</v>
      </c>
      <c r="B16" s="22"/>
      <c r="C16" s="22"/>
      <c r="D16" s="22"/>
      <c r="E16" s="22"/>
      <c r="F16" s="7"/>
      <c r="G16" s="7"/>
      <c r="H16" s="7"/>
      <c r="I16" s="7"/>
      <c r="J16" s="7"/>
      <c r="K16" s="7"/>
      <c r="L16" s="14"/>
      <c r="M16" s="14"/>
    </row>
    <row r="17" spans="1:13" ht="36.75" customHeight="1" x14ac:dyDescent="0.2">
      <c r="A17" s="7" t="s">
        <v>53</v>
      </c>
      <c r="B17" s="8" t="s">
        <v>54</v>
      </c>
      <c r="C17" s="6">
        <f>C13*(C3-C14/2)/1000</f>
        <v>173.87836101676098</v>
      </c>
      <c r="D17" s="20" t="s">
        <v>60</v>
      </c>
      <c r="E17" s="20"/>
      <c r="F17" s="7"/>
      <c r="G17" s="7"/>
      <c r="H17" s="7"/>
      <c r="I17" s="7"/>
      <c r="J17" s="7"/>
      <c r="K17" s="7"/>
      <c r="L17" s="14"/>
      <c r="M17" s="14"/>
    </row>
    <row r="18" spans="1:13" ht="42" customHeight="1" x14ac:dyDescent="0.2">
      <c r="A18" s="7" t="s">
        <v>59</v>
      </c>
      <c r="B18" s="8" t="s">
        <v>54</v>
      </c>
      <c r="C18" s="6">
        <f>'داده ها'!R12*1.5</f>
        <v>141.99</v>
      </c>
      <c r="D18" s="20"/>
      <c r="E18" s="20"/>
      <c r="F18" s="7"/>
      <c r="G18" s="7"/>
      <c r="H18" s="7"/>
      <c r="I18" s="7"/>
      <c r="J18" s="7"/>
      <c r="K18" s="7"/>
      <c r="L18" s="14"/>
      <c r="M18" s="14"/>
    </row>
    <row r="19" spans="1:13" ht="18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ht="18" x14ac:dyDescent="0.2">
      <c r="A20" s="7"/>
      <c r="B20" s="7" t="s">
        <v>1</v>
      </c>
      <c r="C20" s="7" t="s">
        <v>2</v>
      </c>
      <c r="D20" s="7"/>
      <c r="E20" s="7"/>
      <c r="F20" s="7"/>
      <c r="G20" s="7"/>
      <c r="H20" s="7"/>
      <c r="I20" s="7"/>
      <c r="J20" s="7"/>
      <c r="K20" s="7"/>
      <c r="L20" s="19" t="s">
        <v>100</v>
      </c>
      <c r="M20" s="19"/>
    </row>
    <row r="21" spans="1:13" ht="18" x14ac:dyDescent="0.2">
      <c r="A21" s="7" t="s">
        <v>35</v>
      </c>
      <c r="B21" s="8" t="s">
        <v>7</v>
      </c>
      <c r="C21" s="5">
        <f>-0.44*10^-3</f>
        <v>-4.4000000000000002E-4</v>
      </c>
      <c r="D21" s="7"/>
      <c r="E21" s="7"/>
      <c r="F21" s="7"/>
      <c r="G21" s="7"/>
      <c r="H21" s="7"/>
      <c r="I21" s="7"/>
      <c r="J21" s="7"/>
      <c r="K21" s="7"/>
      <c r="L21" s="19"/>
      <c r="M21" s="19"/>
    </row>
    <row r="22" spans="1:13" ht="18" x14ac:dyDescent="0.2">
      <c r="A22" s="7" t="s">
        <v>43</v>
      </c>
      <c r="B22" s="8"/>
      <c r="C22" s="6">
        <f>(4-C21/'داده ها'!C5)/(6-2*C21/'داده ها'!C5)</f>
        <v>0.67985611510791366</v>
      </c>
      <c r="D22" s="7"/>
      <c r="E22" s="7"/>
      <c r="F22" s="7"/>
      <c r="G22" s="7"/>
      <c r="H22" s="7"/>
      <c r="I22" s="7"/>
      <c r="J22" s="7"/>
      <c r="K22" s="7"/>
      <c r="L22" s="19"/>
      <c r="M22" s="19"/>
    </row>
    <row r="23" spans="1:13" ht="18" x14ac:dyDescent="0.2">
      <c r="A23" s="7" t="s">
        <v>42</v>
      </c>
      <c r="B23" s="8"/>
      <c r="C23" s="6">
        <f>1/C22*(C21/'داده ها'!C5-1/3*(C21/'داده ها'!C5)^2)</f>
        <v>0.2998673721340388</v>
      </c>
      <c r="D23" s="7"/>
      <c r="E23" s="7"/>
      <c r="F23" s="7"/>
      <c r="G23" s="7"/>
      <c r="H23" s="7"/>
      <c r="I23" s="7"/>
      <c r="J23" s="7"/>
      <c r="K23" s="7"/>
      <c r="L23" s="19"/>
      <c r="M23" s="19"/>
    </row>
    <row r="24" spans="1:13" ht="18" x14ac:dyDescent="0.2">
      <c r="A24" s="7" t="s">
        <v>44</v>
      </c>
      <c r="B24" s="8" t="s">
        <v>11</v>
      </c>
      <c r="C24" s="5">
        <v>31.5</v>
      </c>
      <c r="D24" s="7"/>
      <c r="E24" s="7"/>
      <c r="F24" s="7"/>
      <c r="G24" s="7"/>
      <c r="H24" s="7"/>
      <c r="I24" s="7"/>
      <c r="J24" s="7"/>
      <c r="K24" s="7"/>
      <c r="L24" s="19"/>
      <c r="M24" s="19"/>
    </row>
    <row r="25" spans="1:13" ht="18" x14ac:dyDescent="0.2">
      <c r="A25" s="7" t="s">
        <v>45</v>
      </c>
      <c r="B25" s="8" t="s">
        <v>7</v>
      </c>
      <c r="C25" s="6">
        <f>-C21/C24*(C3-C24)</f>
        <v>3.5688888888888888E-3</v>
      </c>
      <c r="D25" s="7"/>
      <c r="E25" s="7"/>
      <c r="F25" s="7"/>
      <c r="G25" s="7"/>
      <c r="H25" s="7"/>
      <c r="I25" s="7"/>
      <c r="J25" s="7"/>
      <c r="K25" s="7"/>
      <c r="L25" s="19"/>
      <c r="M25" s="19"/>
    </row>
    <row r="26" spans="1:13" ht="18" x14ac:dyDescent="0.2">
      <c r="A26" s="7" t="s">
        <v>46</v>
      </c>
      <c r="B26" s="8" t="s">
        <v>3</v>
      </c>
      <c r="C26" s="6">
        <f>C25*'داده ها'!C11</f>
        <v>214.13333333333333</v>
      </c>
      <c r="D26" s="7"/>
      <c r="E26" s="7"/>
      <c r="F26" s="7"/>
      <c r="G26" s="7"/>
      <c r="H26" s="7"/>
      <c r="I26" s="7"/>
      <c r="J26" s="7"/>
      <c r="K26" s="7"/>
      <c r="L26" s="19"/>
      <c r="M26" s="19"/>
    </row>
    <row r="27" spans="1:13" ht="18" x14ac:dyDescent="0.2">
      <c r="A27" s="7" t="s">
        <v>47</v>
      </c>
      <c r="B27" s="8" t="s">
        <v>30</v>
      </c>
      <c r="C27" s="6">
        <f>'داده ها'!C16*C26*'داده ها'!C14/1000</f>
        <v>42.826666666666661</v>
      </c>
      <c r="D27" s="7"/>
      <c r="E27" s="7"/>
      <c r="F27" s="7"/>
      <c r="G27" s="7"/>
      <c r="H27" s="7"/>
      <c r="I27" s="7"/>
      <c r="J27" s="7"/>
      <c r="K27" s="7"/>
      <c r="L27" s="19"/>
      <c r="M27" s="19"/>
    </row>
    <row r="28" spans="1:13" ht="18" x14ac:dyDescent="0.2">
      <c r="A28" s="7" t="s">
        <v>48</v>
      </c>
      <c r="B28" s="8" t="s">
        <v>30</v>
      </c>
      <c r="C28" s="6">
        <f>C27*طراحی!C4</f>
        <v>256.95999999999998</v>
      </c>
      <c r="D28" s="7"/>
      <c r="E28" s="7"/>
      <c r="F28" s="7"/>
      <c r="G28" s="7"/>
      <c r="H28" s="7"/>
      <c r="I28" s="7"/>
      <c r="J28" s="7"/>
      <c r="K28" s="7"/>
      <c r="L28" s="19"/>
      <c r="M28" s="19"/>
    </row>
    <row r="29" spans="1:13" ht="18" x14ac:dyDescent="0.2">
      <c r="A29" s="7" t="s">
        <v>49</v>
      </c>
      <c r="B29" s="8" t="s">
        <v>11</v>
      </c>
      <c r="C29" s="6">
        <f>C28/'داده ها'!C3/'داده ها'!C8/C23</f>
        <v>21.422804202681018</v>
      </c>
      <c r="D29" s="7"/>
      <c r="E29" s="7"/>
      <c r="F29" s="7"/>
      <c r="G29" s="7"/>
      <c r="H29" s="7"/>
      <c r="I29" s="7"/>
      <c r="J29" s="7"/>
      <c r="K29" s="7"/>
      <c r="L29" s="19"/>
      <c r="M29" s="19"/>
    </row>
    <row r="30" spans="1:13" ht="18" x14ac:dyDescent="0.2">
      <c r="A30" s="7" t="s">
        <v>50</v>
      </c>
      <c r="B30" s="8"/>
      <c r="C30" s="6">
        <f>C29/C22</f>
        <v>31.510791366906471</v>
      </c>
      <c r="D30" s="7" t="s">
        <v>51</v>
      </c>
      <c r="E30" s="6">
        <f>C24</f>
        <v>31.5</v>
      </c>
      <c r="F30" s="7"/>
      <c r="G30" s="7"/>
      <c r="H30" s="7"/>
      <c r="I30" s="7"/>
      <c r="J30" s="7"/>
      <c r="K30" s="7"/>
      <c r="L30" s="19"/>
      <c r="M30" s="19"/>
    </row>
    <row r="31" spans="1:13" ht="18" x14ac:dyDescent="0.2">
      <c r="A31" s="22" t="s">
        <v>52</v>
      </c>
      <c r="B31" s="22"/>
      <c r="C31" s="22"/>
      <c r="D31" s="22"/>
      <c r="E31" s="22"/>
      <c r="F31" s="7"/>
      <c r="G31" s="7"/>
      <c r="H31" s="7"/>
      <c r="I31" s="7"/>
      <c r="J31" s="7"/>
      <c r="K31" s="7"/>
      <c r="L31" s="19"/>
      <c r="M31" s="19"/>
    </row>
    <row r="32" spans="1:13" ht="18" x14ac:dyDescent="0.2">
      <c r="A32" s="7" t="s">
        <v>53</v>
      </c>
      <c r="B32" s="8" t="s">
        <v>54</v>
      </c>
      <c r="C32" s="6">
        <f>C28*(طراحی!C3-C29/2)/1000</f>
        <v>70.995118116039535</v>
      </c>
      <c r="D32" s="20" t="s">
        <v>60</v>
      </c>
      <c r="E32" s="20"/>
      <c r="F32" s="7"/>
      <c r="G32" s="7"/>
      <c r="H32" s="7"/>
      <c r="I32" s="7"/>
      <c r="J32" s="7"/>
      <c r="K32" s="7"/>
      <c r="L32" s="19"/>
      <c r="M32" s="19"/>
    </row>
    <row r="33" spans="1:13" ht="18" x14ac:dyDescent="0.2">
      <c r="A33" s="7" t="s">
        <v>59</v>
      </c>
      <c r="B33" s="8" t="s">
        <v>54</v>
      </c>
      <c r="C33" s="6">
        <f>'داده ها'!R10</f>
        <v>65.34</v>
      </c>
      <c r="D33" s="20"/>
      <c r="E33" s="20"/>
      <c r="F33" s="7"/>
      <c r="G33" s="7"/>
      <c r="H33" s="7"/>
      <c r="I33" s="7"/>
      <c r="J33" s="7"/>
      <c r="K33" s="7"/>
      <c r="L33" s="19"/>
      <c r="M33" s="19"/>
    </row>
    <row r="34" spans="1:13" ht="18" x14ac:dyDescent="0.2">
      <c r="A34" s="21" t="s">
        <v>65</v>
      </c>
      <c r="B34" s="21"/>
      <c r="C34" s="21"/>
      <c r="D34" s="21"/>
      <c r="E34" s="21"/>
      <c r="F34" s="7"/>
      <c r="G34" s="7"/>
      <c r="H34" s="7"/>
      <c r="I34" s="7"/>
      <c r="J34" s="7"/>
      <c r="K34" s="7"/>
      <c r="L34" s="19"/>
      <c r="M34" s="19"/>
    </row>
    <row r="35" spans="1:13" ht="18" x14ac:dyDescent="0.2">
      <c r="A35" s="8" t="s">
        <v>66</v>
      </c>
      <c r="B35" s="8" t="s">
        <v>11</v>
      </c>
      <c r="C35" s="6">
        <f>'داده ها'!C18-C30</f>
        <v>298.48920863309354</v>
      </c>
      <c r="D35" s="7"/>
      <c r="E35" s="7"/>
      <c r="F35" s="7"/>
      <c r="G35" s="7"/>
      <c r="H35" s="7"/>
      <c r="I35" s="7"/>
      <c r="J35" s="7"/>
      <c r="K35" s="7"/>
      <c r="L35" s="19"/>
      <c r="M35" s="19"/>
    </row>
    <row r="36" spans="1:13" ht="18" x14ac:dyDescent="0.2">
      <c r="A36" s="8" t="s">
        <v>67</v>
      </c>
      <c r="B36" s="8" t="s">
        <v>11</v>
      </c>
      <c r="C36" s="6">
        <f>C35-1/2*'داده ها'!C10-'داده ها'!C19</f>
        <v>255.48920863309354</v>
      </c>
      <c r="D36" s="7"/>
      <c r="E36" s="7"/>
      <c r="F36" s="7"/>
      <c r="G36" s="7"/>
      <c r="H36" s="7"/>
      <c r="I36" s="7"/>
      <c r="J36" s="7"/>
      <c r="K36" s="7"/>
      <c r="L36" s="19"/>
      <c r="M36" s="19"/>
    </row>
    <row r="37" spans="1:13" ht="18" x14ac:dyDescent="0.2">
      <c r="A37" s="8" t="s">
        <v>68</v>
      </c>
      <c r="B37" s="8" t="s">
        <v>4</v>
      </c>
      <c r="C37" s="6">
        <f>C26</f>
        <v>214.13333333333333</v>
      </c>
      <c r="D37" s="7"/>
      <c r="E37" s="7"/>
      <c r="F37" s="7"/>
      <c r="G37" s="7"/>
      <c r="H37" s="7"/>
      <c r="I37" s="7"/>
      <c r="J37" s="7"/>
      <c r="K37" s="7"/>
      <c r="L37" s="19"/>
      <c r="M37" s="19"/>
    </row>
    <row r="38" spans="1:13" ht="18" x14ac:dyDescent="0.2">
      <c r="A38" s="8" t="s">
        <v>69</v>
      </c>
      <c r="B38" s="8" t="s">
        <v>4</v>
      </c>
      <c r="C38" s="6">
        <f>'داده ها'!C11</f>
        <v>60000</v>
      </c>
      <c r="D38" s="7"/>
      <c r="E38" s="7"/>
      <c r="F38" s="7"/>
      <c r="G38" s="7"/>
      <c r="H38" s="7"/>
      <c r="I38" s="7"/>
      <c r="J38" s="7"/>
      <c r="K38" s="7"/>
      <c r="L38" s="19"/>
      <c r="M38" s="19"/>
    </row>
    <row r="39" spans="1:13" ht="18" x14ac:dyDescent="0.2">
      <c r="A39" s="7" t="s">
        <v>15</v>
      </c>
      <c r="B39" s="8" t="s">
        <v>11</v>
      </c>
      <c r="C39" s="6">
        <f>'داده ها'!C19</f>
        <v>35</v>
      </c>
      <c r="D39" s="7"/>
      <c r="E39" s="7"/>
      <c r="F39" s="7"/>
      <c r="G39" s="7"/>
      <c r="H39" s="7"/>
      <c r="I39" s="7"/>
      <c r="J39" s="7"/>
      <c r="K39" s="7"/>
      <c r="L39" s="19"/>
      <c r="M39" s="19"/>
    </row>
    <row r="40" spans="1:13" ht="18" x14ac:dyDescent="0.2">
      <c r="A40" s="7" t="s">
        <v>70</v>
      </c>
      <c r="B40" s="8"/>
      <c r="C40" s="5">
        <v>0.8</v>
      </c>
      <c r="D40" s="7"/>
      <c r="E40" s="7"/>
      <c r="F40" s="7"/>
      <c r="G40" s="20" t="s">
        <v>74</v>
      </c>
      <c r="H40" s="20"/>
      <c r="I40" s="20"/>
      <c r="J40" s="7"/>
      <c r="K40" s="7"/>
      <c r="L40" s="19"/>
      <c r="M40" s="19"/>
    </row>
    <row r="41" spans="1:13" ht="18" x14ac:dyDescent="0.2">
      <c r="A41" s="7" t="s">
        <v>71</v>
      </c>
      <c r="B41" s="8" t="s">
        <v>11</v>
      </c>
      <c r="C41" s="6">
        <f>K4</f>
        <v>167</v>
      </c>
      <c r="D41" s="7"/>
      <c r="E41" s="7"/>
      <c r="F41" s="7"/>
      <c r="G41" s="20"/>
      <c r="H41" s="20"/>
      <c r="I41" s="20"/>
      <c r="J41" s="7"/>
      <c r="K41" s="7"/>
      <c r="L41" s="19"/>
      <c r="M41" s="19"/>
    </row>
    <row r="42" spans="1:13" ht="18" x14ac:dyDescent="0.2">
      <c r="A42" s="8" t="s">
        <v>72</v>
      </c>
      <c r="B42" s="8" t="s">
        <v>11</v>
      </c>
      <c r="C42" s="6">
        <f>2*C37/C38*C36/C35*C40*(C39^2+0.5*C41^2)^0.5</f>
        <v>0.6019807025794166</v>
      </c>
      <c r="D42" s="7" t="s">
        <v>73</v>
      </c>
      <c r="E42" s="5">
        <v>0.7</v>
      </c>
      <c r="F42" s="7" t="s">
        <v>38</v>
      </c>
      <c r="G42" s="20"/>
      <c r="H42" s="20"/>
      <c r="I42" s="20"/>
      <c r="J42" s="7"/>
      <c r="K42" s="7"/>
      <c r="L42" s="19"/>
      <c r="M42" s="19"/>
    </row>
    <row r="43" spans="1:13" ht="18" x14ac:dyDescent="0.2">
      <c r="A43" s="8"/>
      <c r="B43" s="8"/>
      <c r="C43" s="7"/>
      <c r="D43" s="7"/>
      <c r="E43" s="7"/>
      <c r="F43" s="7"/>
      <c r="G43" s="20"/>
      <c r="H43" s="20"/>
      <c r="I43" s="20"/>
      <c r="J43" s="7"/>
      <c r="K43" s="7"/>
      <c r="L43" s="19"/>
      <c r="M43" s="19"/>
    </row>
    <row r="44" spans="1:13" ht="18" x14ac:dyDescent="0.2">
      <c r="A44" s="8"/>
      <c r="B44" s="8"/>
      <c r="C44" s="7"/>
      <c r="D44" s="7"/>
      <c r="E44" s="7"/>
      <c r="F44" s="7"/>
      <c r="G44" s="20"/>
      <c r="H44" s="20"/>
      <c r="I44" s="20"/>
      <c r="J44" s="7"/>
      <c r="K44" s="7"/>
      <c r="L44" s="19"/>
      <c r="M44" s="19"/>
    </row>
    <row r="45" spans="1:13" ht="18" x14ac:dyDescent="0.2">
      <c r="A45" s="21" t="s">
        <v>75</v>
      </c>
      <c r="B45" s="21"/>
      <c r="C45" s="21"/>
      <c r="D45" s="21"/>
      <c r="E45" s="21"/>
      <c r="F45" s="7"/>
      <c r="G45" s="7"/>
      <c r="H45" s="7"/>
      <c r="I45" s="7"/>
      <c r="J45" s="7"/>
      <c r="K45" s="7"/>
      <c r="L45" s="19"/>
      <c r="M45" s="19"/>
    </row>
    <row r="46" spans="1:13" ht="18" x14ac:dyDescent="0.2">
      <c r="A46" s="7" t="s">
        <v>76</v>
      </c>
      <c r="B46" s="8" t="s">
        <v>4</v>
      </c>
      <c r="C46" s="6">
        <f>C37</f>
        <v>214.13333333333333</v>
      </c>
      <c r="D46" s="7"/>
      <c r="E46" s="7"/>
      <c r="F46" s="7"/>
      <c r="G46" s="20" t="s">
        <v>80</v>
      </c>
      <c r="H46" s="20"/>
      <c r="I46" s="20"/>
      <c r="J46" s="7"/>
      <c r="K46" s="7"/>
      <c r="L46" s="19"/>
      <c r="M46" s="19"/>
    </row>
    <row r="47" spans="1:13" ht="18" x14ac:dyDescent="0.2">
      <c r="A47" s="7" t="s">
        <v>77</v>
      </c>
      <c r="B47" s="8" t="s">
        <v>4</v>
      </c>
      <c r="C47" s="6">
        <f>'داده ها'!C12</f>
        <v>1150</v>
      </c>
      <c r="D47" s="7"/>
      <c r="E47" s="7"/>
      <c r="F47" s="7"/>
      <c r="G47" s="20"/>
      <c r="H47" s="20"/>
      <c r="I47" s="20"/>
      <c r="J47" s="7"/>
      <c r="K47" s="7"/>
      <c r="L47" s="19"/>
      <c r="M47" s="19"/>
    </row>
    <row r="48" spans="1:13" ht="18" x14ac:dyDescent="0.2">
      <c r="A48" s="7" t="s">
        <v>78</v>
      </c>
      <c r="B48" s="8"/>
      <c r="C48" s="6">
        <f>C46/C47</f>
        <v>0.18620289855072464</v>
      </c>
      <c r="D48" s="7" t="s">
        <v>79</v>
      </c>
      <c r="E48" s="5">
        <v>0.25</v>
      </c>
      <c r="F48" s="7" t="s">
        <v>38</v>
      </c>
      <c r="G48" s="20"/>
      <c r="H48" s="20"/>
      <c r="I48" s="20"/>
      <c r="J48" s="7"/>
      <c r="K48" s="7"/>
      <c r="L48" s="19"/>
      <c r="M48" s="19"/>
    </row>
    <row r="49" spans="1:13" ht="18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ht="18" x14ac:dyDescent="0.2">
      <c r="A50" s="7"/>
      <c r="B50" s="7" t="s">
        <v>1</v>
      </c>
      <c r="C50" s="7" t="s">
        <v>2</v>
      </c>
      <c r="D50" s="9"/>
      <c r="E50" s="9"/>
      <c r="F50" s="7"/>
      <c r="G50" s="7"/>
      <c r="H50" s="7"/>
      <c r="I50" s="7"/>
      <c r="J50" s="7"/>
      <c r="K50" s="7"/>
      <c r="L50" s="14" t="s">
        <v>101</v>
      </c>
      <c r="M50" s="14"/>
    </row>
    <row r="51" spans="1:13" ht="18" x14ac:dyDescent="0.2">
      <c r="A51" s="7" t="s">
        <v>81</v>
      </c>
      <c r="B51" s="8"/>
      <c r="C51" s="5">
        <v>1</v>
      </c>
      <c r="D51" s="9"/>
      <c r="E51" s="9"/>
      <c r="F51" s="7"/>
      <c r="G51" s="7"/>
      <c r="H51" s="7"/>
      <c r="I51" s="7"/>
      <c r="J51" s="7"/>
      <c r="K51" s="7"/>
      <c r="L51" s="14"/>
      <c r="M51" s="14"/>
    </row>
    <row r="52" spans="1:13" ht="18" x14ac:dyDescent="0.2">
      <c r="A52" s="7" t="s">
        <v>82</v>
      </c>
      <c r="B52" s="8"/>
      <c r="C52" s="5">
        <v>0.8</v>
      </c>
      <c r="D52" s="9"/>
      <c r="E52" s="9"/>
      <c r="F52" s="7"/>
      <c r="G52" s="7"/>
      <c r="H52" s="7"/>
      <c r="I52" s="7"/>
      <c r="J52" s="7"/>
      <c r="K52" s="7"/>
      <c r="L52" s="14"/>
      <c r="M52" s="14"/>
    </row>
    <row r="53" spans="1:13" ht="18" x14ac:dyDescent="0.2">
      <c r="A53" s="7" t="s">
        <v>83</v>
      </c>
      <c r="B53" s="8" t="s">
        <v>4</v>
      </c>
      <c r="C53" s="6">
        <f>'داده ها'!C11</f>
        <v>60000</v>
      </c>
      <c r="D53" s="9"/>
      <c r="E53" s="9"/>
      <c r="F53" s="7"/>
      <c r="G53" s="7"/>
      <c r="H53" s="7"/>
      <c r="I53" s="7"/>
      <c r="J53" s="7"/>
      <c r="K53" s="7"/>
      <c r="L53" s="14"/>
      <c r="M53" s="14"/>
    </row>
    <row r="54" spans="1:13" ht="18" x14ac:dyDescent="0.2">
      <c r="A54" s="7" t="s">
        <v>84</v>
      </c>
      <c r="B54" s="8" t="s">
        <v>4</v>
      </c>
      <c r="C54" s="5">
        <v>200000</v>
      </c>
      <c r="D54" s="9"/>
      <c r="E54" s="9"/>
      <c r="F54" s="7"/>
      <c r="G54" s="7"/>
      <c r="H54" s="7"/>
      <c r="I54" s="7"/>
      <c r="J54" s="7"/>
      <c r="K54" s="7"/>
      <c r="L54" s="14"/>
      <c r="M54" s="14"/>
    </row>
    <row r="55" spans="1:13" ht="18" x14ac:dyDescent="0.2">
      <c r="A55" s="7" t="s">
        <v>15</v>
      </c>
      <c r="B55" s="8" t="s">
        <v>11</v>
      </c>
      <c r="C55" s="6">
        <f>'داده ها'!C19</f>
        <v>35</v>
      </c>
      <c r="D55" s="9"/>
      <c r="E55" s="9"/>
      <c r="F55" s="7"/>
      <c r="G55" s="7"/>
      <c r="H55" s="7"/>
      <c r="I55" s="7"/>
      <c r="J55" s="7"/>
      <c r="K55" s="7"/>
      <c r="L55" s="14"/>
      <c r="M55" s="14"/>
    </row>
    <row r="56" spans="1:13" ht="18" x14ac:dyDescent="0.2">
      <c r="A56" s="7" t="s">
        <v>85</v>
      </c>
      <c r="B56" s="8"/>
      <c r="C56" s="5">
        <v>0</v>
      </c>
      <c r="D56" s="9"/>
      <c r="E56" s="9"/>
      <c r="F56" s="7"/>
      <c r="G56" s="7"/>
      <c r="H56" s="7"/>
      <c r="I56" s="7"/>
      <c r="J56" s="7"/>
      <c r="K56" s="7"/>
      <c r="L56" s="14"/>
      <c r="M56" s="14"/>
    </row>
    <row r="57" spans="1:13" ht="18" x14ac:dyDescent="0.2">
      <c r="A57" s="7" t="s">
        <v>77</v>
      </c>
      <c r="B57" s="8" t="s">
        <v>4</v>
      </c>
      <c r="C57" s="6">
        <f>'داده ها'!C12</f>
        <v>1150</v>
      </c>
      <c r="D57" s="9"/>
      <c r="E57" s="9"/>
      <c r="F57" s="7"/>
      <c r="G57" s="7"/>
      <c r="H57" s="7"/>
      <c r="I57" s="7"/>
      <c r="J57" s="7"/>
      <c r="K57" s="7"/>
      <c r="L57" s="14"/>
      <c r="M57" s="14"/>
    </row>
    <row r="58" spans="1:13" ht="18" x14ac:dyDescent="0.2">
      <c r="A58" s="7" t="s">
        <v>86</v>
      </c>
      <c r="B58" s="8" t="s">
        <v>4</v>
      </c>
      <c r="C58" s="5">
        <v>2.09</v>
      </c>
      <c r="D58" s="9"/>
      <c r="E58" s="9"/>
      <c r="F58" s="7"/>
      <c r="G58" s="7"/>
      <c r="H58" s="7"/>
      <c r="I58" s="7"/>
      <c r="J58" s="7"/>
      <c r="K58" s="7"/>
      <c r="L58" s="14"/>
      <c r="M58" s="14"/>
    </row>
    <row r="59" spans="1:13" ht="18" x14ac:dyDescent="0.2">
      <c r="A59" s="7" t="s">
        <v>36</v>
      </c>
      <c r="B59" s="8" t="s">
        <v>37</v>
      </c>
      <c r="C59" s="6">
        <f>C5</f>
        <v>1200</v>
      </c>
      <c r="D59" s="9"/>
      <c r="E59" s="9"/>
      <c r="F59" s="7"/>
      <c r="G59" s="7"/>
      <c r="H59" s="7"/>
      <c r="I59" s="7"/>
      <c r="J59" s="7"/>
      <c r="K59" s="7"/>
      <c r="L59" s="14"/>
      <c r="M59" s="14"/>
    </row>
    <row r="60" spans="1:13" ht="18" x14ac:dyDescent="0.2">
      <c r="A60" s="7" t="s">
        <v>87</v>
      </c>
      <c r="B60" s="8" t="s">
        <v>11</v>
      </c>
      <c r="C60" s="6">
        <f>0.45*C51*C52/(C55+C56*C53/C54)*(C57/C58)*C59</f>
        <v>6791.524265208478</v>
      </c>
      <c r="D60" s="9"/>
      <c r="E60" s="9"/>
      <c r="F60" s="7"/>
      <c r="G60" s="7"/>
      <c r="H60" s="7"/>
      <c r="I60" s="7"/>
      <c r="J60" s="7"/>
      <c r="K60" s="7"/>
      <c r="L60" s="14"/>
      <c r="M60" s="14"/>
    </row>
    <row r="61" spans="1:13" ht="18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1:13" ht="18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</row>
    <row r="63" spans="1:13" ht="18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</row>
    <row r="64" spans="1:13" ht="18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</row>
    <row r="65" spans="1:11" ht="18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</row>
    <row r="66" spans="1:11" ht="18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</row>
    <row r="67" spans="1:11" ht="18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</row>
    <row r="68" spans="1:11" ht="18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</row>
    <row r="69" spans="1:11" ht="18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</row>
    <row r="70" spans="1:11" ht="18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</row>
    <row r="71" spans="1:11" ht="18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</row>
    <row r="72" spans="1:11" ht="18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</row>
    <row r="73" spans="1:11" ht="18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</row>
    <row r="74" spans="1:11" ht="18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</row>
    <row r="75" spans="1:11" ht="18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</row>
    <row r="76" spans="1:11" ht="18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</row>
    <row r="77" spans="1:11" ht="18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</row>
    <row r="78" spans="1:11" ht="18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</row>
    <row r="79" spans="1:11" ht="18" x14ac:dyDescent="0.2">
      <c r="A79" s="2"/>
      <c r="B79" s="4"/>
      <c r="C79" s="2"/>
      <c r="D79" s="2"/>
      <c r="E79" s="2"/>
      <c r="F79" s="2"/>
      <c r="G79" s="2"/>
      <c r="H79" s="2"/>
      <c r="I79" s="2"/>
      <c r="J79" s="2"/>
      <c r="K79" s="2"/>
    </row>
    <row r="80" spans="1:11" ht="18" x14ac:dyDescent="0.2">
      <c r="A80" s="2"/>
      <c r="B80" s="4"/>
      <c r="C80" s="2"/>
      <c r="D80" s="2"/>
      <c r="E80" s="2"/>
      <c r="F80" s="2"/>
      <c r="G80" s="2"/>
      <c r="H80" s="2"/>
      <c r="I80" s="2"/>
      <c r="J80" s="2"/>
      <c r="K80" s="2"/>
    </row>
    <row r="81" spans="1:11" ht="18" x14ac:dyDescent="0.2">
      <c r="A81" s="2"/>
      <c r="B81" s="4"/>
      <c r="C81" s="2"/>
      <c r="D81" s="2"/>
      <c r="E81" s="2"/>
      <c r="F81" s="2"/>
      <c r="G81" s="2"/>
      <c r="H81" s="2"/>
      <c r="I81" s="2"/>
      <c r="J81" s="2"/>
      <c r="K81" s="2"/>
    </row>
    <row r="82" spans="1:11" ht="18" x14ac:dyDescent="0.2">
      <c r="A82" s="2"/>
      <c r="B82" s="4"/>
      <c r="C82" s="2"/>
      <c r="D82" s="2"/>
      <c r="E82" s="2"/>
      <c r="F82" s="2"/>
      <c r="G82" s="2"/>
      <c r="H82" s="2"/>
      <c r="I82" s="2"/>
      <c r="J82" s="2"/>
      <c r="K82" s="2"/>
    </row>
    <row r="83" spans="1:11" ht="18" x14ac:dyDescent="0.2">
      <c r="A83" s="2"/>
      <c r="B83" s="4"/>
      <c r="C83" s="2"/>
      <c r="D83" s="2"/>
      <c r="E83" s="2"/>
      <c r="F83" s="2"/>
      <c r="G83" s="2"/>
      <c r="H83" s="2"/>
      <c r="I83" s="2"/>
      <c r="J83" s="2"/>
      <c r="K83" s="2"/>
    </row>
    <row r="84" spans="1:11" ht="18" x14ac:dyDescent="0.2">
      <c r="A84" s="2"/>
      <c r="B84" s="4"/>
      <c r="C84" s="2"/>
      <c r="D84" s="2"/>
      <c r="E84" s="2"/>
      <c r="F84" s="2"/>
      <c r="G84" s="2"/>
      <c r="H84" s="2"/>
      <c r="I84" s="2"/>
      <c r="J84" s="2"/>
      <c r="K84" s="2"/>
    </row>
    <row r="85" spans="1:11" ht="18" x14ac:dyDescent="0.2">
      <c r="A85" s="2"/>
      <c r="B85" s="4"/>
      <c r="C85" s="2"/>
      <c r="D85" s="2"/>
      <c r="E85" s="2"/>
      <c r="F85" s="2"/>
      <c r="G85" s="2"/>
      <c r="H85" s="2"/>
      <c r="I85" s="2"/>
      <c r="J85" s="2"/>
      <c r="K85" s="2"/>
    </row>
    <row r="86" spans="1:11" ht="18" x14ac:dyDescent="0.2">
      <c r="A86" s="2"/>
      <c r="B86" s="4"/>
      <c r="C86" s="2"/>
      <c r="D86" s="2"/>
      <c r="E86" s="2"/>
      <c r="F86" s="2"/>
      <c r="G86" s="2"/>
      <c r="H86" s="2"/>
      <c r="I86" s="2"/>
      <c r="J86" s="2"/>
      <c r="K86" s="2"/>
    </row>
    <row r="87" spans="1:11" ht="18" x14ac:dyDescent="0.2">
      <c r="A87" s="2"/>
      <c r="B87" s="4"/>
      <c r="C87" s="2"/>
      <c r="D87" s="2"/>
      <c r="E87" s="2"/>
      <c r="F87" s="2"/>
      <c r="G87" s="2"/>
      <c r="H87" s="2"/>
      <c r="I87" s="2"/>
      <c r="J87" s="2"/>
      <c r="K87" s="2"/>
    </row>
    <row r="88" spans="1:11" ht="18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8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8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8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8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8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8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8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8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8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8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8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8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8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8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8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8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8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8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8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8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8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8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8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8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8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8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8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8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8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8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8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8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8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8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8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8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8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8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8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8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8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8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8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8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8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8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8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8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8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8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8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8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8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8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8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8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8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8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8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8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8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8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8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8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8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8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8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8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8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8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8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8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8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8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8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8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8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8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8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8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8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8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8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8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8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8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8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8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8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8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8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8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8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8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8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8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8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8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8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8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8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8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8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8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8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8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8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8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8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8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8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8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8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8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8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8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8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8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8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8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8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8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8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8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8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8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8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8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8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8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8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8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8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8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8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8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8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8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8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8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8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8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8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8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8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8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8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8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8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8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8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8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8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8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8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8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8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8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8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8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8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8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8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8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8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8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8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8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8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8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8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8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8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8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8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18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8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18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18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18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18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18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8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8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8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8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18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18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8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18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18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8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18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18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18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18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18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18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18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18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18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8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8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8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18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8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18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18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ht="18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18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8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8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18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</sheetData>
  <sheetProtection algorithmName="SHA-512" hashValue="fDX+7Zy84/uEiwZqVVB/u1Psg+iLJc7z3Fl0LIFIy34U7TZt12j1NRw/cSiS1H1w7u7SmhTY/jp8oU6k0dv0Bg==" saltValue="hNq7z7cj7bM8AZmSwMKgR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4">
    <mergeCell ref="A61:M61"/>
    <mergeCell ref="L2:M18"/>
    <mergeCell ref="L20:M48"/>
    <mergeCell ref="A49:M49"/>
    <mergeCell ref="A19:M19"/>
    <mergeCell ref="L50:M60"/>
    <mergeCell ref="G40:I44"/>
    <mergeCell ref="A45:E45"/>
    <mergeCell ref="G46:I48"/>
    <mergeCell ref="A16:E16"/>
    <mergeCell ref="D17:E18"/>
    <mergeCell ref="A31:E31"/>
    <mergeCell ref="D32:E33"/>
    <mergeCell ref="A34:E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داده ها</vt:lpstr>
      <vt:lpstr>طراحی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Mr.Smac</dc:creator>
  <cp:lastModifiedBy>Mr.Smac</cp:lastModifiedBy>
  <dcterms:created xsi:type="dcterms:W3CDTF">2016-12-11T05:35:06Z</dcterms:created>
  <dcterms:modified xsi:type="dcterms:W3CDTF">2016-12-13T13:13:42Z</dcterms:modified>
</cp:coreProperties>
</file>